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95" windowHeight="9960" tabRatio="599" firstSheet="2" activeTab="2"/>
  </bookViews>
  <sheets>
    <sheet name="139-2 паспортист" sheetId="1" r:id="rId1"/>
    <sheet name="н.Д.139-2 АДС+инж" sheetId="2" r:id="rId2"/>
    <sheet name="Н.Данченко 139,3" sheetId="3" r:id="rId3"/>
  </sheets>
  <definedNames>
    <definedName name="_xlnm.Print_Titles" localSheetId="2">'Н.Данченко 139,3'!$7:$7</definedName>
  </definedNames>
  <calcPr fullCalcOnLoad="1"/>
</workbook>
</file>

<file path=xl/sharedStrings.xml><?xml version="1.0" encoding="utf-8"?>
<sst xmlns="http://schemas.openxmlformats.org/spreadsheetml/2006/main" count="163" uniqueCount="115">
  <si>
    <t xml:space="preserve">кошение газона </t>
  </si>
  <si>
    <t xml:space="preserve">за сезон </t>
  </si>
  <si>
    <t xml:space="preserve"> </t>
  </si>
  <si>
    <t>Уборка лестничных клеток</t>
  </si>
  <si>
    <t>Уборка дворовой территории</t>
  </si>
  <si>
    <t xml:space="preserve">посыпка песком территорий </t>
  </si>
  <si>
    <t>№ п/п</t>
  </si>
  <si>
    <t>Наименование услуг и работ</t>
  </si>
  <si>
    <t>периодичность</t>
  </si>
  <si>
    <t>годовой размер платы</t>
  </si>
  <si>
    <t>размер платы на 1м2 в месяц</t>
  </si>
  <si>
    <t>Отметка о включении в состав работ</t>
  </si>
  <si>
    <t>Раздел I . Содержание общего имущества многоквартирного дома</t>
  </si>
  <si>
    <t xml:space="preserve">Техническое обслуживание общих коммуникаций                                                                                                                              </t>
  </si>
  <si>
    <t>1.1.</t>
  </si>
  <si>
    <t>техническое обслуживание внутридомовых инженерных сетей, конструктивных элементов</t>
  </si>
  <si>
    <t xml:space="preserve"> 1.3</t>
  </si>
  <si>
    <t>очистка кровли от снега - 1 раз в год; снежные навесы, сосульки  - по мере необходимости</t>
  </si>
  <si>
    <t>Аварийно- ремонтное обслуживание</t>
  </si>
  <si>
    <t>Работы по санитарной уборке , очистке  общего имущества дома и придомовых территорий</t>
  </si>
  <si>
    <t>3.1.</t>
  </si>
  <si>
    <t xml:space="preserve"> 3.1.1</t>
  </si>
  <si>
    <t xml:space="preserve"> -  подметание лестничных площадок  и маршей  </t>
  </si>
  <si>
    <t xml:space="preserve">  в неделю</t>
  </si>
  <si>
    <t xml:space="preserve"> 3.1.2</t>
  </si>
  <si>
    <t xml:space="preserve"> - мытье лестничных площадок и маршей</t>
  </si>
  <si>
    <t xml:space="preserve"> в месяц</t>
  </si>
  <si>
    <t xml:space="preserve"> 3.1.3</t>
  </si>
  <si>
    <t xml:space="preserve"> в год</t>
  </si>
  <si>
    <t xml:space="preserve"> 3.2.</t>
  </si>
  <si>
    <t>подметание территорий с усовершенствованным покрытием</t>
  </si>
  <si>
    <t>в неделю</t>
  </si>
  <si>
    <t>уборка мусора на контейнерной площадке</t>
  </si>
  <si>
    <t xml:space="preserve"> в неделю</t>
  </si>
  <si>
    <t>очистка урн от мусора</t>
  </si>
  <si>
    <t xml:space="preserve">  за период </t>
  </si>
  <si>
    <t>4.1.</t>
  </si>
  <si>
    <t>Дератизация подвального помещения</t>
  </si>
  <si>
    <t xml:space="preserve"> 4.3.</t>
  </si>
  <si>
    <t xml:space="preserve">Услуги по управлению многоквартирным домом                                                                         </t>
  </si>
  <si>
    <t>Стоимость услуг и работ по I разделу</t>
  </si>
  <si>
    <t>Раздел II  Другие услуги</t>
  </si>
  <si>
    <t>Вывоз , утилизация КГО</t>
  </si>
  <si>
    <t>Стоимость услуг и работ по  I, II  разделам</t>
  </si>
  <si>
    <t>Услуги некоммерческого партнерства "объединенная расчетная система"</t>
  </si>
  <si>
    <t>Общество с ограниченной</t>
  </si>
  <si>
    <t>630054, г. Новосибирск,</t>
  </si>
  <si>
    <t>Плахотного, 23</t>
  </si>
  <si>
    <t>в ОАО Банк «Левобережный»,</t>
  </si>
  <si>
    <t>Генеральный Директор:</t>
  </si>
  <si>
    <t>___________________ Е.Л. Клевцов</t>
  </si>
  <si>
    <t>Летний период</t>
  </si>
  <si>
    <t>Зимний период</t>
  </si>
  <si>
    <t>Устранение аварийных повреждений систем водопровода, отопления и водоотведения, внутренних сетях электроснабжения</t>
  </si>
  <si>
    <t>Расчет платы по каждому лицевому счету, расчет платы  с учетом льгот ,формирование отчетности, выполняется специализированной организацией  по договору</t>
  </si>
  <si>
    <t xml:space="preserve"> услуги по содержанию общего имущества согласно предписаниям , или для ликвидации причин, угрожающих жизни и здоровью граждан.</t>
  </si>
  <si>
    <t>Очистка территории от наледи с применением механизированной техники</t>
  </si>
  <si>
    <t>Управляющая компания</t>
  </si>
  <si>
    <t>очистка кровли от снега, снежных свесов, сосулек с сдвиганием снега от фасада здания, прочистка пешеходных дорожек</t>
  </si>
  <si>
    <t>уборка  контейнерной площадки</t>
  </si>
  <si>
    <t>3.2.1.</t>
  </si>
  <si>
    <t>3.2.1.1.</t>
  </si>
  <si>
    <t>3.2.1.3.</t>
  </si>
  <si>
    <t>3.2.1.4.</t>
  </si>
  <si>
    <t>3.2.2.</t>
  </si>
  <si>
    <t>3.2.2.1.</t>
  </si>
  <si>
    <t>3.2.2.5.</t>
  </si>
  <si>
    <t>3.2.2.6.</t>
  </si>
  <si>
    <t xml:space="preserve"> Прочие</t>
  </si>
  <si>
    <t>4.</t>
  </si>
  <si>
    <t xml:space="preserve"> 4.2.</t>
  </si>
  <si>
    <t xml:space="preserve"> 4.4.</t>
  </si>
  <si>
    <t xml:space="preserve"> 4.5.</t>
  </si>
  <si>
    <t>проведение технических осмотров, проведение профилактических работ и устранение незначительных неисправностей в системах водопровода, водоотведения, теплоснабжения, в конструктивных элементах здания, очистка подвальных помещений и другие.</t>
  </si>
  <si>
    <t>в накопление</t>
  </si>
  <si>
    <t>1 раз с 23.03.-01-04., 2-ой раз по согласованию с собственниками</t>
  </si>
  <si>
    <t>3.2.2.7.</t>
  </si>
  <si>
    <t>3.2.2.8.</t>
  </si>
  <si>
    <t>Н.Данченко</t>
  </si>
  <si>
    <t xml:space="preserve">  -Влажная уборка (мытьё подоконников, панелей, обметание пыли с потолков) </t>
  </si>
  <si>
    <t xml:space="preserve">очистка от  снега территорий с усовершенствованным покрытием </t>
  </si>
  <si>
    <t>Р./сч.№ 40702810604000001156</t>
  </si>
  <si>
    <t>БИК 045004850,</t>
  </si>
  <si>
    <t>ИНН 5404390972 КПП540401001</t>
  </si>
  <si>
    <t xml:space="preserve">Тел.- факс 354-64-02, </t>
  </si>
  <si>
    <t>Председатель правления ТСЖ "Статус"</t>
  </si>
  <si>
    <t>П.П. Степус</t>
  </si>
  <si>
    <t xml:space="preserve">Стоимость работ и услуг по I, II разделам </t>
  </si>
  <si>
    <t>Общеэксплуатационные расходы (10%)</t>
  </si>
  <si>
    <t>оплата в месяц</t>
  </si>
  <si>
    <t>139/2, 139/3</t>
  </si>
  <si>
    <t>подготовка т/узла к эксплуатации в зимний период, промывка, испытания и запуск отопления</t>
  </si>
  <si>
    <t>Перечень услуг и работ к договору №______ от 09.06.2012года по адресу:</t>
  </si>
  <si>
    <t>Приложение № 1</t>
  </si>
  <si>
    <t>организация выполнения требований законодательства РФ, договорных обязательств , нормативно-правовому и технико-эксплуатационному обеспечению деятельности организации,   организация и контроль выполнения работ и услуг, ведение документации</t>
  </si>
  <si>
    <t xml:space="preserve"> ответственностью «СОЮЗ»</t>
  </si>
  <si>
    <t xml:space="preserve">круглосуточная работа диспетчера и аварийной бригады, прием и регистрация заявок, выезд бригады на аварийно-восстановительные работы в системе отопления, горячего и холодного водоснабжения. </t>
  </si>
  <si>
    <t>Всего</t>
  </si>
  <si>
    <t xml:space="preserve">организация выполнения требований законодательства РФ  по прописке  и выписке  по инструкции паспортиста </t>
  </si>
  <si>
    <t xml:space="preserve"> обслуживание паспортиста (заработная плата с ЕСН 20,2%)</t>
  </si>
  <si>
    <t>Услуги банка</t>
  </si>
  <si>
    <t>Организация выполнения требований законодательства РФ, договорных обязательств по содержанию и ремонту общего имущества ,финансово-экономическому, нормативно-правовому и технико-эксплуатационному обеспечению деятельности организации, работа с населением, планирование работ с расчетом необходимых услуг и ремонтов, организация и контроль их выполнения, ведение документации, введение баз данных  по площади квартир , по количеству проживающих,</t>
  </si>
  <si>
    <t>1 раз в квартал выполняется специализированной организацией  по договору</t>
  </si>
  <si>
    <t>Обслуживание детского игрового и спортивного оборудования</t>
  </si>
  <si>
    <t xml:space="preserve"> прием платежей населения по видам услуг, печать выписок лицевого счета, предоставление отчетности для ведения бухгалтерского и статистического учета</t>
  </si>
  <si>
    <t>Раздел III  Текущий ремонт общего имущества многоквартирного дома</t>
  </si>
  <si>
    <t>4.6</t>
  </si>
  <si>
    <t>Услуги бухгалтера, паспортиста</t>
  </si>
  <si>
    <t>ведение бухгалтерского, статистического учета, отчетность перед наоговыми инспекциями, пенсионным фондом, ведение паспортного учета, выдача справок и выписок, прописка/выписка граждан</t>
  </si>
  <si>
    <t>Утверждено общим собранием</t>
  </si>
  <si>
    <t>собственников ТСЖ "Статус"</t>
  </si>
  <si>
    <t>"____"_______ 2021 г</t>
  </si>
  <si>
    <t xml:space="preserve">Вывоз  и утилизация  мусора в осенне-весенний субботники </t>
  </si>
  <si>
    <t>Обслуживание и заполнение сайтов</t>
  </si>
  <si>
    <t>Перечень услуг и работ по содержанию и ремонту общего имущества в многоквартирном доме и размер их платы на 2021 год по адресу: ул.Немировича-Данченко, 139/2, площадь дома , кв.м.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</si>
</sst>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[$-FC19]d\ mmmm\ yyyy\ &quot;г.&quot;"/>
    <numFmt numFmtId="193" formatCode="0.0000000"/>
    <numFmt numFmtId="194" formatCode="0.000000"/>
    <numFmt numFmtId="195" formatCode="0.00_)"/>
    <numFmt numFmtId="196" formatCode="0_)"/>
    <numFmt numFmtId="197" formatCode="0.0_)"/>
    <numFmt numFmtId="198" formatCode="0.0000_)"/>
    <numFmt numFmtId="199" formatCode="0.00000000"/>
    <numFmt numFmtId="200" formatCode="0.000000000"/>
    <numFmt numFmtId="201" formatCode="0.0%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"/>
    <numFmt numFmtId="207" formatCode="0.0E+00"/>
    <numFmt numFmtId="208" formatCode="0E+00"/>
    <numFmt numFmtId="209" formatCode="0.000E+00"/>
  </numFmts>
  <fonts count="47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14"/>
      <name val="Arial"/>
      <family val="2"/>
    </font>
    <font>
      <sz val="7.5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 vertical="center" wrapText="1"/>
    </xf>
    <xf numFmtId="0" fontId="2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7.00390625" style="0" customWidth="1"/>
    <col min="2" max="2" width="36.140625" style="0" customWidth="1"/>
    <col min="3" max="3" width="28.28125" style="0" customWidth="1"/>
    <col min="5" max="5" width="10.00390625" style="0" customWidth="1"/>
    <col min="6" max="6" width="7.8515625" style="0" customWidth="1"/>
    <col min="7" max="7" width="0" style="0" hidden="1" customWidth="1"/>
    <col min="8" max="8" width="9.57421875" style="0" bestFit="1" customWidth="1"/>
  </cols>
  <sheetData>
    <row r="1" spans="2:6" ht="12.75">
      <c r="B1" t="s">
        <v>2</v>
      </c>
      <c r="C1" s="48" t="s">
        <v>93</v>
      </c>
      <c r="D1" s="48"/>
      <c r="E1" s="48"/>
      <c r="F1" s="48"/>
    </row>
    <row r="2" spans="2:5" ht="41.25" customHeight="1">
      <c r="B2" s="49" t="s">
        <v>92</v>
      </c>
      <c r="C2" s="49"/>
      <c r="D2" t="e">
        <f>4261.5+#REF!</f>
        <v>#REF!</v>
      </c>
      <c r="E2" s="6" t="s">
        <v>78</v>
      </c>
    </row>
    <row r="3" spans="4:5" ht="12.75">
      <c r="D3">
        <v>0</v>
      </c>
      <c r="E3" s="16" t="s">
        <v>90</v>
      </c>
    </row>
    <row r="4" spans="1:7" ht="39">
      <c r="A4" s="1" t="s">
        <v>6</v>
      </c>
      <c r="B4" s="1" t="s">
        <v>7</v>
      </c>
      <c r="C4" s="1" t="s">
        <v>2</v>
      </c>
      <c r="D4" s="3" t="s">
        <v>89</v>
      </c>
      <c r="E4" s="3" t="s">
        <v>9</v>
      </c>
      <c r="F4" s="3" t="s">
        <v>10</v>
      </c>
      <c r="G4" s="3" t="s">
        <v>11</v>
      </c>
    </row>
    <row r="5" spans="1:7" ht="12.75">
      <c r="A5" s="1" t="s">
        <v>12</v>
      </c>
      <c r="B5" s="2"/>
      <c r="C5" s="1"/>
      <c r="D5" s="1"/>
      <c r="E5" s="1"/>
      <c r="F5" s="1"/>
      <c r="G5" s="1"/>
    </row>
    <row r="6" spans="1:7" s="6" customFormat="1" ht="12.75">
      <c r="A6" s="30">
        <v>1</v>
      </c>
      <c r="B6" s="7" t="s">
        <v>97</v>
      </c>
      <c r="C6" s="8"/>
      <c r="D6" s="9">
        <f>D7</f>
        <v>2716.52</v>
      </c>
      <c r="E6" s="9">
        <f>E7</f>
        <v>32598.239999999998</v>
      </c>
      <c r="F6" s="9" t="e">
        <f>E6/D$2/12</f>
        <v>#REF!</v>
      </c>
      <c r="G6" s="8"/>
    </row>
    <row r="7" spans="1:7" ht="38.25" customHeight="1">
      <c r="A7" s="26" t="s">
        <v>14</v>
      </c>
      <c r="B7" s="38" t="s">
        <v>99</v>
      </c>
      <c r="C7" s="37" t="s">
        <v>98</v>
      </c>
      <c r="D7" s="15">
        <f>E7/12</f>
        <v>2716.52</v>
      </c>
      <c r="E7" s="15">
        <f>2000*1.13*1.202*12</f>
        <v>32598.239999999998</v>
      </c>
      <c r="F7" s="13" t="e">
        <f>E7/D$2/12</f>
        <v>#REF!</v>
      </c>
      <c r="G7" s="1"/>
    </row>
    <row r="8" spans="1:8" ht="25.5">
      <c r="A8" s="1"/>
      <c r="B8" s="7" t="s">
        <v>40</v>
      </c>
      <c r="C8" s="5"/>
      <c r="D8" s="9">
        <f>D6</f>
        <v>2716.52</v>
      </c>
      <c r="E8" s="9">
        <f>E6</f>
        <v>32598.239999999998</v>
      </c>
      <c r="F8" s="9" t="e">
        <f>E8/D$2/12</f>
        <v>#REF!</v>
      </c>
      <c r="G8" s="1"/>
      <c r="H8" s="19"/>
    </row>
    <row r="9" spans="1:7" s="6" customFormat="1" ht="12.75">
      <c r="A9" s="33"/>
      <c r="B9" s="34"/>
      <c r="C9" s="35"/>
      <c r="D9" s="33"/>
      <c r="E9" s="27"/>
      <c r="F9" s="27"/>
      <c r="G9" s="33"/>
    </row>
    <row r="10" spans="1:8" ht="16.5" customHeight="1">
      <c r="A10" s="22"/>
      <c r="B10" s="23" t="s">
        <v>57</v>
      </c>
      <c r="C10" s="24"/>
      <c r="D10" s="22"/>
      <c r="E10" s="25"/>
      <c r="F10" s="27"/>
      <c r="G10" s="22"/>
      <c r="H10" s="19"/>
    </row>
    <row r="11" spans="2:3" ht="12.75">
      <c r="B11" t="s">
        <v>45</v>
      </c>
      <c r="C11" s="32" t="s">
        <v>85</v>
      </c>
    </row>
    <row r="12" spans="2:6" ht="12.75">
      <c r="B12" t="s">
        <v>95</v>
      </c>
      <c r="E12" s="32" t="s">
        <v>86</v>
      </c>
      <c r="F12" s="32"/>
    </row>
    <row r="13" ht="12.75">
      <c r="B13" t="s">
        <v>46</v>
      </c>
    </row>
    <row r="14" ht="12.75">
      <c r="B14" t="s">
        <v>47</v>
      </c>
    </row>
    <row r="15" ht="12.75">
      <c r="B15" s="32" t="s">
        <v>81</v>
      </c>
    </row>
    <row r="16" ht="12.75">
      <c r="B16" t="s">
        <v>48</v>
      </c>
    </row>
    <row r="17" ht="12.75">
      <c r="B17" s="32" t="s">
        <v>82</v>
      </c>
    </row>
    <row r="18" ht="12.75">
      <c r="B18" s="32" t="s">
        <v>83</v>
      </c>
    </row>
    <row r="19" ht="12.75">
      <c r="B19" s="32" t="s">
        <v>84</v>
      </c>
    </row>
    <row r="20" ht="12.75">
      <c r="B20" t="s">
        <v>49</v>
      </c>
    </row>
    <row r="21" ht="12.75">
      <c r="B21" t="s">
        <v>50</v>
      </c>
    </row>
  </sheetData>
  <sheetProtection/>
  <mergeCells count="2">
    <mergeCell ref="C1:F1"/>
    <mergeCell ref="B2:C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115" zoomScaleNormal="115" zoomScalePageLayoutView="0" workbookViewId="0" topLeftCell="A1">
      <pane xSplit="4" ySplit="5" topLeftCell="E6" activePane="bottomRight" state="frozen"/>
      <selection pane="topLeft" activeCell="C59" sqref="C59"/>
      <selection pane="topRight" activeCell="C59" sqref="C59"/>
      <selection pane="bottomLeft" activeCell="C59" sqref="C59"/>
      <selection pane="bottomRight" activeCell="D8" sqref="D8"/>
    </sheetView>
  </sheetViews>
  <sheetFormatPr defaultColWidth="9.140625" defaultRowHeight="12.75"/>
  <cols>
    <col min="1" max="1" width="7.00390625" style="0" customWidth="1"/>
    <col min="2" max="2" width="36.140625" style="0" customWidth="1"/>
    <col min="3" max="3" width="28.28125" style="0" customWidth="1"/>
    <col min="4" max="4" width="10.421875" style="0" customWidth="1"/>
    <col min="5" max="5" width="9.8515625" style="0" customWidth="1"/>
    <col min="7" max="7" width="0" style="0" hidden="1" customWidth="1"/>
    <col min="8" max="8" width="9.57421875" style="0" bestFit="1" customWidth="1"/>
  </cols>
  <sheetData>
    <row r="1" spans="2:6" ht="12.75">
      <c r="B1" t="s">
        <v>2</v>
      </c>
      <c r="C1" s="48" t="s">
        <v>93</v>
      </c>
      <c r="D1" s="48"/>
      <c r="E1" s="48"/>
      <c r="F1" s="48"/>
    </row>
    <row r="2" spans="2:5" ht="41.25" customHeight="1">
      <c r="B2" s="49" t="s">
        <v>92</v>
      </c>
      <c r="C2" s="49"/>
      <c r="D2" t="e">
        <f>4261.5+#REF!</f>
        <v>#REF!</v>
      </c>
      <c r="E2" s="6" t="s">
        <v>78</v>
      </c>
    </row>
    <row r="3" spans="4:5" ht="12.75">
      <c r="D3">
        <v>0</v>
      </c>
      <c r="E3" s="16" t="s">
        <v>90</v>
      </c>
    </row>
    <row r="4" spans="1:7" ht="29.25">
      <c r="A4" s="1" t="s">
        <v>6</v>
      </c>
      <c r="B4" s="1" t="s">
        <v>7</v>
      </c>
      <c r="C4" s="1" t="s">
        <v>2</v>
      </c>
      <c r="D4" s="3" t="s">
        <v>89</v>
      </c>
      <c r="E4" s="3" t="s">
        <v>9</v>
      </c>
      <c r="F4" s="3" t="s">
        <v>10</v>
      </c>
      <c r="G4" s="3" t="s">
        <v>11</v>
      </c>
    </row>
    <row r="5" spans="1:7" ht="12.75">
      <c r="A5" s="1" t="s">
        <v>12</v>
      </c>
      <c r="B5" s="2"/>
      <c r="C5" s="1"/>
      <c r="D5" s="1"/>
      <c r="E5" s="1"/>
      <c r="F5" s="1"/>
      <c r="G5" s="1"/>
    </row>
    <row r="6" spans="1:7" s="6" customFormat="1" ht="25.5">
      <c r="A6" s="30">
        <v>1</v>
      </c>
      <c r="B6" s="7" t="s">
        <v>13</v>
      </c>
      <c r="C6" s="8"/>
      <c r="D6" s="9" t="e">
        <f>D7+D8</f>
        <v>#REF!</v>
      </c>
      <c r="E6" s="9" t="e">
        <f>E7+E8</f>
        <v>#REF!</v>
      </c>
      <c r="F6" s="9" t="e">
        <f>E6/D$2/12</f>
        <v>#REF!</v>
      </c>
      <c r="G6" s="8"/>
    </row>
    <row r="7" spans="1:7" ht="49.5" customHeight="1">
      <c r="A7" s="26" t="s">
        <v>14</v>
      </c>
      <c r="B7" s="38" t="s">
        <v>15</v>
      </c>
      <c r="C7" s="40" t="s">
        <v>91</v>
      </c>
      <c r="D7" s="15" t="e">
        <f>E7/12</f>
        <v>#REF!</v>
      </c>
      <c r="E7" s="15" t="e">
        <f>3.37*D2*12</f>
        <v>#REF!</v>
      </c>
      <c r="F7" s="13" t="e">
        <f>E7/D$2/12</f>
        <v>#REF!</v>
      </c>
      <c r="G7" s="1"/>
    </row>
    <row r="8" spans="1:7" ht="93.75" customHeight="1">
      <c r="A8" s="31">
        <v>2</v>
      </c>
      <c r="B8" s="39" t="s">
        <v>18</v>
      </c>
      <c r="C8" s="36" t="s">
        <v>96</v>
      </c>
      <c r="D8" s="15" t="e">
        <f>E8/12</f>
        <v>#REF!</v>
      </c>
      <c r="E8" s="4" t="e">
        <f>1.31*D2*12</f>
        <v>#REF!</v>
      </c>
      <c r="F8" s="10" t="e">
        <f>E8/D$2/12</f>
        <v>#REF!</v>
      </c>
      <c r="G8" s="1"/>
    </row>
    <row r="9" spans="1:8" ht="96" customHeight="1">
      <c r="A9" s="26">
        <v>3</v>
      </c>
      <c r="B9" s="39" t="s">
        <v>88</v>
      </c>
      <c r="C9" s="37" t="s">
        <v>94</v>
      </c>
      <c r="D9" s="15" t="e">
        <f>E9/12</f>
        <v>#REF!</v>
      </c>
      <c r="E9" s="15" t="e">
        <f>(E6+E11)*0.1</f>
        <v>#REF!</v>
      </c>
      <c r="F9" s="13" t="e">
        <f>E9/D$2/12</f>
        <v>#REF!</v>
      </c>
      <c r="G9" s="1"/>
      <c r="H9" s="19"/>
    </row>
    <row r="10" spans="1:8" ht="25.5">
      <c r="A10" s="1"/>
      <c r="B10" s="7" t="s">
        <v>40</v>
      </c>
      <c r="C10" s="5"/>
      <c r="D10" s="9" t="e">
        <f>D9+D6</f>
        <v>#REF!</v>
      </c>
      <c r="E10" s="9" t="e">
        <f>E9+E6</f>
        <v>#REF!</v>
      </c>
      <c r="F10" s="9" t="e">
        <f>E10/D$2/12</f>
        <v>#REF!</v>
      </c>
      <c r="G10" s="1"/>
      <c r="H10" s="19"/>
    </row>
    <row r="11" spans="1:7" ht="12.75">
      <c r="A11" s="1"/>
      <c r="B11" s="2"/>
      <c r="C11" s="29" t="s">
        <v>42</v>
      </c>
      <c r="D11" s="15" t="e">
        <f>E11/12</f>
        <v>#REF!</v>
      </c>
      <c r="E11" s="4" t="e">
        <f>0.17*12*D2</f>
        <v>#REF!</v>
      </c>
      <c r="F11" s="10" t="e">
        <f>E11/D2/12</f>
        <v>#REF!</v>
      </c>
      <c r="G11" s="1"/>
    </row>
    <row r="12" spans="1:7" s="6" customFormat="1" ht="25.5">
      <c r="A12" s="8"/>
      <c r="B12" s="7" t="s">
        <v>87</v>
      </c>
      <c r="C12" s="20"/>
      <c r="D12" s="9" t="e">
        <f>D10+D11</f>
        <v>#REF!</v>
      </c>
      <c r="E12" s="9" t="e">
        <f>E10+E11</f>
        <v>#REF!</v>
      </c>
      <c r="F12" s="9" t="e">
        <f>E12/D$2/12</f>
        <v>#REF!</v>
      </c>
      <c r="G12" s="8"/>
    </row>
    <row r="13" spans="1:7" s="6" customFormat="1" ht="12.75">
      <c r="A13" s="33"/>
      <c r="B13" s="34"/>
      <c r="C13" s="35"/>
      <c r="D13" s="33"/>
      <c r="E13" s="27"/>
      <c r="F13" s="27"/>
      <c r="G13" s="33"/>
    </row>
    <row r="14" spans="1:8" ht="16.5" customHeight="1">
      <c r="A14" s="22"/>
      <c r="B14" s="23" t="s">
        <v>57</v>
      </c>
      <c r="C14" s="24"/>
      <c r="D14" s="22"/>
      <c r="E14" s="25"/>
      <c r="F14" s="27"/>
      <c r="G14" s="22"/>
      <c r="H14" s="19"/>
    </row>
    <row r="15" spans="2:3" ht="12.75">
      <c r="B15" t="s">
        <v>45</v>
      </c>
      <c r="C15" s="32" t="s">
        <v>85</v>
      </c>
    </row>
    <row r="16" spans="2:6" ht="12.75">
      <c r="B16" t="s">
        <v>95</v>
      </c>
      <c r="E16" s="32" t="s">
        <v>86</v>
      </c>
      <c r="F16" s="32"/>
    </row>
    <row r="17" ht="12.75">
      <c r="B17" t="s">
        <v>46</v>
      </c>
    </row>
    <row r="18" ht="12.75">
      <c r="B18" t="s">
        <v>47</v>
      </c>
    </row>
    <row r="19" ht="12.75">
      <c r="B19" s="32" t="s">
        <v>81</v>
      </c>
    </row>
    <row r="20" ht="12.75">
      <c r="B20" t="s">
        <v>48</v>
      </c>
    </row>
    <row r="21" ht="12.75">
      <c r="B21" s="32" t="s">
        <v>82</v>
      </c>
    </row>
    <row r="22" ht="12.75">
      <c r="B22" s="32" t="s">
        <v>83</v>
      </c>
    </row>
    <row r="23" ht="12.75">
      <c r="B23" s="32" t="s">
        <v>84</v>
      </c>
    </row>
    <row r="24" ht="12.75">
      <c r="B24" t="s">
        <v>49</v>
      </c>
    </row>
    <row r="25" ht="12.75">
      <c r="B25" t="s">
        <v>50</v>
      </c>
    </row>
  </sheetData>
  <sheetProtection/>
  <mergeCells count="2">
    <mergeCell ref="B2:C2"/>
    <mergeCell ref="C1:F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pane xSplit="4" ySplit="8" topLeftCell="E42" activePane="bottomRight" state="frozen"/>
      <selection pane="topLeft" activeCell="C59" sqref="C59"/>
      <selection pane="topRight" activeCell="C59" sqref="C59"/>
      <selection pane="bottomLeft" activeCell="C59" sqref="C59"/>
      <selection pane="bottomRight" activeCell="A1" sqref="A1:G49"/>
    </sheetView>
  </sheetViews>
  <sheetFormatPr defaultColWidth="9.140625" defaultRowHeight="12.75"/>
  <cols>
    <col min="1" max="1" width="7.00390625" style="0" customWidth="1"/>
    <col min="2" max="2" width="41.8515625" style="0" customWidth="1"/>
    <col min="3" max="3" width="21.57421875" style="0" customWidth="1"/>
    <col min="4" max="4" width="10.421875" style="0" customWidth="1"/>
    <col min="5" max="5" width="9.8515625" style="0" customWidth="1"/>
    <col min="6" max="6" width="9.140625" style="0" customWidth="1"/>
  </cols>
  <sheetData>
    <row r="1" ht="12.75">
      <c r="E1" s="32" t="s">
        <v>109</v>
      </c>
    </row>
    <row r="2" ht="12.75">
      <c r="E2" s="32" t="s">
        <v>110</v>
      </c>
    </row>
    <row r="3" ht="12.75">
      <c r="E3" s="32" t="s">
        <v>111</v>
      </c>
    </row>
    <row r="4" spans="2:4" ht="12.75">
      <c r="B4" t="s">
        <v>2</v>
      </c>
      <c r="D4" s="21"/>
    </row>
    <row r="5" spans="2:5" ht="41.25" customHeight="1">
      <c r="B5" s="49" t="s">
        <v>114</v>
      </c>
      <c r="C5" s="49"/>
      <c r="D5" s="6">
        <v>4261.5</v>
      </c>
      <c r="E5" s="6"/>
    </row>
    <row r="6" ht="12.75">
      <c r="E6" s="16"/>
    </row>
    <row r="7" spans="1:7" ht="29.25">
      <c r="A7" s="1" t="s">
        <v>6</v>
      </c>
      <c r="B7" s="1" t="s">
        <v>7</v>
      </c>
      <c r="C7" s="1" t="s">
        <v>2</v>
      </c>
      <c r="D7" s="3" t="s">
        <v>8</v>
      </c>
      <c r="E7" s="3" t="s">
        <v>9</v>
      </c>
      <c r="F7" s="3" t="s">
        <v>10</v>
      </c>
      <c r="G7" s="3" t="s">
        <v>11</v>
      </c>
    </row>
    <row r="8" spans="1:7" ht="12.75">
      <c r="A8" s="1" t="s">
        <v>12</v>
      </c>
      <c r="B8" s="2"/>
      <c r="C8" s="1"/>
      <c r="D8" s="1"/>
      <c r="E8" s="1"/>
      <c r="F8" s="1"/>
      <c r="G8" s="1"/>
    </row>
    <row r="9" spans="1:13" s="6" customFormat="1" ht="25.5">
      <c r="A9" s="8">
        <v>1</v>
      </c>
      <c r="B9" s="7" t="s">
        <v>13</v>
      </c>
      <c r="C9" s="8"/>
      <c r="D9" s="8"/>
      <c r="E9" s="9">
        <f>E10+E11</f>
        <v>273588.3</v>
      </c>
      <c r="F9" s="9">
        <f>F10+F11</f>
        <v>5.35</v>
      </c>
      <c r="G9" s="8"/>
      <c r="M9" s="41">
        <f>F9</f>
        <v>5.35</v>
      </c>
    </row>
    <row r="10" spans="1:13" ht="102" customHeight="1">
      <c r="A10" s="1" t="s">
        <v>14</v>
      </c>
      <c r="B10" s="2" t="s">
        <v>15</v>
      </c>
      <c r="C10" s="3" t="s">
        <v>73</v>
      </c>
      <c r="D10" s="12"/>
      <c r="E10" s="15">
        <f>4.25*D5*12</f>
        <v>217336.5</v>
      </c>
      <c r="F10" s="13">
        <v>4.25</v>
      </c>
      <c r="G10" s="1"/>
      <c r="H10">
        <f>E10/12*7</f>
        <v>126779.625</v>
      </c>
      <c r="M10" s="19">
        <f>F12</f>
        <v>1.54</v>
      </c>
    </row>
    <row r="11" spans="1:13" ht="49.5" customHeight="1">
      <c r="A11" s="1" t="s">
        <v>16</v>
      </c>
      <c r="B11" s="2" t="s">
        <v>58</v>
      </c>
      <c r="C11" s="5" t="s">
        <v>17</v>
      </c>
      <c r="D11" s="1"/>
      <c r="E11" s="4">
        <f>1.1*12*D5</f>
        <v>56251.8</v>
      </c>
      <c r="F11" s="10">
        <f>E11/D$5/12</f>
        <v>1.1</v>
      </c>
      <c r="G11" s="1"/>
      <c r="M11" s="19">
        <f>F13</f>
        <v>5.655</v>
      </c>
    </row>
    <row r="12" spans="1:13" ht="57.75" customHeight="1">
      <c r="A12" s="12">
        <v>2</v>
      </c>
      <c r="B12" s="42" t="s">
        <v>18</v>
      </c>
      <c r="C12" s="5" t="s">
        <v>53</v>
      </c>
      <c r="D12" s="1"/>
      <c r="E12" s="4">
        <f>1.54*D5*12</f>
        <v>78752.52</v>
      </c>
      <c r="F12" s="9">
        <f aca="true" t="shared" si="0" ref="F12:F22">E12/D$5/12</f>
        <v>1.54</v>
      </c>
      <c r="G12" s="1"/>
      <c r="M12" s="19">
        <f>K36</f>
        <v>7.289999999999999</v>
      </c>
    </row>
    <row r="13" spans="1:13" ht="38.25">
      <c r="A13" s="12">
        <v>3</v>
      </c>
      <c r="B13" s="7" t="s">
        <v>19</v>
      </c>
      <c r="C13" s="5"/>
      <c r="D13" s="1"/>
      <c r="E13" s="9">
        <f>SUM(E14+E18)</f>
        <v>289185.39</v>
      </c>
      <c r="F13" s="9">
        <f t="shared" si="0"/>
        <v>5.655</v>
      </c>
      <c r="G13" s="1"/>
      <c r="M13" s="19">
        <f>SUM(M9:M12)</f>
        <v>19.835</v>
      </c>
    </row>
    <row r="14" spans="1:7" ht="12.75">
      <c r="A14" s="1" t="s">
        <v>20</v>
      </c>
      <c r="B14" s="7" t="s">
        <v>3</v>
      </c>
      <c r="C14" s="5"/>
      <c r="D14" s="4"/>
      <c r="E14" s="4">
        <f>E15+E16+E17</f>
        <v>122731.2</v>
      </c>
      <c r="F14" s="9">
        <f t="shared" si="0"/>
        <v>2.4</v>
      </c>
      <c r="G14" s="1"/>
    </row>
    <row r="15" spans="1:7" ht="25.5">
      <c r="A15" s="1" t="s">
        <v>21</v>
      </c>
      <c r="B15" s="2" t="s">
        <v>22</v>
      </c>
      <c r="C15" s="5" t="s">
        <v>23</v>
      </c>
      <c r="D15" s="1">
        <v>1</v>
      </c>
      <c r="E15" s="4">
        <f>0.76*12*D5</f>
        <v>38864.880000000005</v>
      </c>
      <c r="F15" s="10">
        <f t="shared" si="0"/>
        <v>0.7600000000000001</v>
      </c>
      <c r="G15" s="1"/>
    </row>
    <row r="16" spans="1:7" ht="12.75">
      <c r="A16" s="1" t="s">
        <v>24</v>
      </c>
      <c r="B16" s="2" t="s">
        <v>25</v>
      </c>
      <c r="C16" s="5" t="s">
        <v>26</v>
      </c>
      <c r="D16" s="1">
        <v>1</v>
      </c>
      <c r="E16" s="4">
        <f>0.94*D5*12</f>
        <v>48069.72</v>
      </c>
      <c r="F16" s="10">
        <v>0.74</v>
      </c>
      <c r="G16" s="1"/>
    </row>
    <row r="17" spans="1:7" ht="25.5">
      <c r="A17" s="1" t="s">
        <v>27</v>
      </c>
      <c r="B17" s="2" t="s">
        <v>79</v>
      </c>
      <c r="C17" s="5" t="s">
        <v>28</v>
      </c>
      <c r="D17" s="1">
        <v>1</v>
      </c>
      <c r="E17" s="4">
        <f>0.7*12*D5</f>
        <v>35796.59999999999</v>
      </c>
      <c r="F17" s="10">
        <f>E17/D$5/12</f>
        <v>0.6999999999999998</v>
      </c>
      <c r="G17" s="1"/>
    </row>
    <row r="18" spans="1:10" ht="12.75">
      <c r="A18" s="1" t="s">
        <v>29</v>
      </c>
      <c r="B18" s="7" t="s">
        <v>4</v>
      </c>
      <c r="C18" s="5"/>
      <c r="D18" s="4"/>
      <c r="E18" s="9">
        <f>E19+E23</f>
        <v>166454.19</v>
      </c>
      <c r="F18" s="9">
        <v>2.86</v>
      </c>
      <c r="G18" s="1"/>
      <c r="H18">
        <f>E18/12*7</f>
        <v>97098.27750000001</v>
      </c>
      <c r="J18">
        <f>F18*D5*12</f>
        <v>146254.68</v>
      </c>
    </row>
    <row r="19" spans="1:10" ht="12.75">
      <c r="A19" s="1" t="s">
        <v>60</v>
      </c>
      <c r="B19" s="7" t="s">
        <v>51</v>
      </c>
      <c r="C19" s="5"/>
      <c r="D19" s="1"/>
      <c r="E19" s="9">
        <f>SUM(E20:E22)</f>
        <v>42700.23000000001</v>
      </c>
      <c r="F19" s="9">
        <f t="shared" si="0"/>
        <v>0.8350000000000003</v>
      </c>
      <c r="G19" s="1"/>
      <c r="H19">
        <f>E19/12*7</f>
        <v>24908.467500000006</v>
      </c>
      <c r="J19">
        <f>F19*D5*12</f>
        <v>42700.23000000002</v>
      </c>
    </row>
    <row r="20" spans="1:7" ht="25.5">
      <c r="A20" s="1" t="s">
        <v>61</v>
      </c>
      <c r="B20" s="2" t="s">
        <v>30</v>
      </c>
      <c r="C20" s="5" t="s">
        <v>31</v>
      </c>
      <c r="D20" s="1">
        <v>5</v>
      </c>
      <c r="E20" s="4">
        <f>0.68*12*D5</f>
        <v>34773.840000000004</v>
      </c>
      <c r="F20" s="10">
        <f t="shared" si="0"/>
        <v>0.68</v>
      </c>
      <c r="G20" s="1"/>
    </row>
    <row r="21" spans="1:7" ht="12.75">
      <c r="A21" s="1" t="s">
        <v>62</v>
      </c>
      <c r="B21" s="2" t="s">
        <v>0</v>
      </c>
      <c r="C21" s="5" t="s">
        <v>1</v>
      </c>
      <c r="D21" s="1">
        <v>1</v>
      </c>
      <c r="E21" s="4">
        <f>0.1*12*D5</f>
        <v>5113.800000000001</v>
      </c>
      <c r="F21" s="10">
        <f t="shared" si="0"/>
        <v>0.10000000000000002</v>
      </c>
      <c r="G21" s="1"/>
    </row>
    <row r="22" spans="1:7" ht="12.75">
      <c r="A22" s="1" t="s">
        <v>63</v>
      </c>
      <c r="B22" s="2" t="s">
        <v>32</v>
      </c>
      <c r="C22" s="5" t="s">
        <v>23</v>
      </c>
      <c r="D22" s="1">
        <v>5</v>
      </c>
      <c r="E22" s="4">
        <f>0.05*12*1.1*D5</f>
        <v>2812.5900000000006</v>
      </c>
      <c r="F22" s="10">
        <f t="shared" si="0"/>
        <v>0.055000000000000014</v>
      </c>
      <c r="G22" s="1"/>
    </row>
    <row r="23" spans="1:10" ht="12.75">
      <c r="A23" s="1" t="s">
        <v>64</v>
      </c>
      <c r="B23" s="7" t="s">
        <v>52</v>
      </c>
      <c r="C23" s="5"/>
      <c r="D23" s="1"/>
      <c r="E23" s="9">
        <f>SUM(E24:E28)</f>
        <v>123753.95999999999</v>
      </c>
      <c r="F23" s="9">
        <f>SUM(F24:F28)</f>
        <v>2.4200000000000004</v>
      </c>
      <c r="G23" s="1"/>
      <c r="H23">
        <f>E23/12*7</f>
        <v>72189.81</v>
      </c>
      <c r="J23">
        <f>F23*D5*12</f>
        <v>123753.96000000002</v>
      </c>
    </row>
    <row r="24" spans="1:7" ht="25.5">
      <c r="A24" s="1" t="s">
        <v>65</v>
      </c>
      <c r="B24" s="2" t="s">
        <v>80</v>
      </c>
      <c r="C24" s="5" t="s">
        <v>33</v>
      </c>
      <c r="D24" s="1">
        <v>5</v>
      </c>
      <c r="E24" s="4">
        <f>1.1*12*D5</f>
        <v>56251.8</v>
      </c>
      <c r="F24" s="10">
        <f>E24/D$5/12</f>
        <v>1.1</v>
      </c>
      <c r="G24" s="1"/>
    </row>
    <row r="25" spans="1:7" ht="12.75">
      <c r="A25" s="1" t="s">
        <v>66</v>
      </c>
      <c r="B25" s="2" t="s">
        <v>34</v>
      </c>
      <c r="C25" s="5" t="s">
        <v>23</v>
      </c>
      <c r="D25" s="1">
        <v>1</v>
      </c>
      <c r="E25" s="4">
        <f>0.11*12*D5</f>
        <v>5625.18</v>
      </c>
      <c r="F25" s="10">
        <f>E25/D$5/12</f>
        <v>0.11</v>
      </c>
      <c r="G25" s="1"/>
    </row>
    <row r="26" spans="1:7" ht="12.75">
      <c r="A26" s="1" t="s">
        <v>67</v>
      </c>
      <c r="B26" s="2" t="s">
        <v>59</v>
      </c>
      <c r="C26" s="5" t="s">
        <v>23</v>
      </c>
      <c r="D26" s="1">
        <v>5</v>
      </c>
      <c r="E26" s="4">
        <f>0.36*12*D5</f>
        <v>18409.68</v>
      </c>
      <c r="F26" s="10">
        <f>E26/D$5/12</f>
        <v>0.36000000000000004</v>
      </c>
      <c r="G26" s="1"/>
    </row>
    <row r="27" spans="1:7" ht="12.75">
      <c r="A27" s="1" t="s">
        <v>76</v>
      </c>
      <c r="B27" s="2" t="s">
        <v>5</v>
      </c>
      <c r="C27" s="5" t="s">
        <v>35</v>
      </c>
      <c r="D27" s="1">
        <v>22</v>
      </c>
      <c r="E27" s="4">
        <f>0.25*12*D5</f>
        <v>12784.5</v>
      </c>
      <c r="F27" s="10">
        <f>E27/D$5/12</f>
        <v>0.25</v>
      </c>
      <c r="G27" s="1"/>
    </row>
    <row r="28" spans="1:7" ht="33.75" customHeight="1">
      <c r="A28" s="1" t="s">
        <v>77</v>
      </c>
      <c r="B28" s="2" t="s">
        <v>56</v>
      </c>
      <c r="C28" s="28" t="s">
        <v>75</v>
      </c>
      <c r="D28" s="1"/>
      <c r="E28" s="4">
        <f>F28*12*D5</f>
        <v>30682.799999999996</v>
      </c>
      <c r="F28" s="10">
        <v>0.6</v>
      </c>
      <c r="G28" s="1"/>
    </row>
    <row r="29" spans="1:7" ht="16.5" customHeight="1">
      <c r="A29" s="1" t="s">
        <v>69</v>
      </c>
      <c r="B29" s="7" t="s">
        <v>68</v>
      </c>
      <c r="C29" s="5"/>
      <c r="D29" s="1"/>
      <c r="E29" s="4">
        <f>E30+E31+E32+E33+E34+E35</f>
        <v>321658.02</v>
      </c>
      <c r="F29" s="9">
        <f>K36</f>
        <v>7.289999999999999</v>
      </c>
      <c r="G29" s="1"/>
    </row>
    <row r="30" spans="1:11" ht="36" customHeight="1">
      <c r="A30" s="1" t="s">
        <v>36</v>
      </c>
      <c r="B30" s="2" t="s">
        <v>37</v>
      </c>
      <c r="C30" s="5" t="s">
        <v>102</v>
      </c>
      <c r="D30" s="1"/>
      <c r="E30" s="10">
        <f>F30*D5*12</f>
        <v>3068.2799999999997</v>
      </c>
      <c r="F30" s="10">
        <v>0.06</v>
      </c>
      <c r="G30" s="1"/>
      <c r="K30">
        <v>0.06</v>
      </c>
    </row>
    <row r="31" spans="1:11" ht="61.5" customHeight="1">
      <c r="A31" s="1" t="s">
        <v>70</v>
      </c>
      <c r="B31" s="11" t="s">
        <v>44</v>
      </c>
      <c r="C31" s="3" t="s">
        <v>54</v>
      </c>
      <c r="D31" s="1"/>
      <c r="E31" s="17">
        <f>F31*12*D5</f>
        <v>46024.200000000004</v>
      </c>
      <c r="F31" s="14">
        <v>0.9</v>
      </c>
      <c r="G31" s="1"/>
      <c r="H31">
        <f>(E31+E32+E33)/12*7</f>
        <v>118128.77999999998</v>
      </c>
      <c r="K31">
        <v>0.9</v>
      </c>
    </row>
    <row r="32" spans="1:11" ht="168.75" customHeight="1">
      <c r="A32" s="1" t="s">
        <v>38</v>
      </c>
      <c r="B32" s="11" t="s">
        <v>39</v>
      </c>
      <c r="C32" s="18" t="s">
        <v>101</v>
      </c>
      <c r="D32" s="1"/>
      <c r="E32" s="15">
        <f>F32*12*D5</f>
        <v>141140.87999999998</v>
      </c>
      <c r="F32" s="13">
        <v>2.76</v>
      </c>
      <c r="G32" s="1"/>
      <c r="K32">
        <v>3.76</v>
      </c>
    </row>
    <row r="33" spans="1:11" ht="81.75" customHeight="1">
      <c r="A33" s="1" t="s">
        <v>71</v>
      </c>
      <c r="B33" s="11" t="s">
        <v>100</v>
      </c>
      <c r="C33" s="3" t="s">
        <v>104</v>
      </c>
      <c r="D33" s="12"/>
      <c r="E33" s="15">
        <f>F33*D5*12</f>
        <v>15341.400000000001</v>
      </c>
      <c r="F33" s="13">
        <v>0.3</v>
      </c>
      <c r="G33" s="1"/>
      <c r="K33">
        <v>0.3</v>
      </c>
    </row>
    <row r="34" spans="1:11" ht="50.25" customHeight="1">
      <c r="A34" s="1" t="s">
        <v>72</v>
      </c>
      <c r="B34" s="11" t="s">
        <v>103</v>
      </c>
      <c r="C34" s="3" t="s">
        <v>55</v>
      </c>
      <c r="D34" s="1"/>
      <c r="E34" s="15">
        <f>F34*D5*12</f>
        <v>511.38</v>
      </c>
      <c r="F34" s="13">
        <v>0.01</v>
      </c>
      <c r="G34" s="1"/>
      <c r="K34">
        <v>0.01</v>
      </c>
    </row>
    <row r="35" spans="1:11" ht="78" customHeight="1">
      <c r="A35" s="46" t="s">
        <v>106</v>
      </c>
      <c r="B35" s="47" t="s">
        <v>107</v>
      </c>
      <c r="C35" s="3" t="s">
        <v>108</v>
      </c>
      <c r="D35" s="1"/>
      <c r="E35" s="15">
        <f>F35*D5*12</f>
        <v>115571.88</v>
      </c>
      <c r="F35" s="13">
        <v>2.26</v>
      </c>
      <c r="G35" s="1"/>
      <c r="K35">
        <v>2.26</v>
      </c>
    </row>
    <row r="36" spans="1:11" ht="12.75">
      <c r="A36" s="1"/>
      <c r="B36" s="7" t="s">
        <v>40</v>
      </c>
      <c r="C36" s="5"/>
      <c r="D36" s="1"/>
      <c r="E36" s="9">
        <f>SUM(E9+E12+E13+E30+E31+E32+E33+E34)</f>
        <v>847612.35</v>
      </c>
      <c r="F36" s="9">
        <f>M13</f>
        <v>19.835</v>
      </c>
      <c r="G36" s="1"/>
      <c r="H36">
        <f>E36/12*7</f>
        <v>494440.53750000003</v>
      </c>
      <c r="K36">
        <f>SUM(K30:K35)</f>
        <v>7.289999999999999</v>
      </c>
    </row>
    <row r="37" spans="1:7" ht="12.75">
      <c r="A37" s="1"/>
      <c r="B37" s="7" t="s">
        <v>41</v>
      </c>
      <c r="C37" s="5"/>
      <c r="D37" s="1"/>
      <c r="E37" s="1"/>
      <c r="F37" s="10"/>
      <c r="G37" s="1"/>
    </row>
    <row r="38" spans="1:7" ht="16.5" customHeight="1">
      <c r="A38" s="1"/>
      <c r="B38" t="s">
        <v>113</v>
      </c>
      <c r="C38" s="5"/>
      <c r="D38" s="50"/>
      <c r="E38" s="4">
        <f>F38*D5*12</f>
        <v>5625.18</v>
      </c>
      <c r="F38" s="10">
        <v>0.11</v>
      </c>
      <c r="G38" s="1"/>
    </row>
    <row r="39" spans="1:7" ht="25.5">
      <c r="A39" s="1"/>
      <c r="B39" s="2" t="s">
        <v>112</v>
      </c>
      <c r="C39" s="5"/>
      <c r="D39" s="51"/>
      <c r="E39" s="4">
        <f>F39*12*D5</f>
        <v>15341.399999999998</v>
      </c>
      <c r="F39" s="10">
        <v>0.3</v>
      </c>
      <c r="G39" s="1"/>
    </row>
    <row r="40" spans="1:7" ht="12.75">
      <c r="A40" s="1"/>
      <c r="B40" s="7"/>
      <c r="C40" s="5"/>
      <c r="D40" s="1"/>
      <c r="E40" s="4"/>
      <c r="F40" s="9"/>
      <c r="G40" s="1"/>
    </row>
    <row r="41" spans="1:8" s="45" customFormat="1" ht="25.5">
      <c r="A41" s="2"/>
      <c r="B41" s="7" t="s">
        <v>43</v>
      </c>
      <c r="C41" s="5"/>
      <c r="D41" s="2"/>
      <c r="E41" s="43">
        <f>SUM(E36+E40)</f>
        <v>847612.35</v>
      </c>
      <c r="F41" s="43">
        <f>SUM(F36,F38,F39)</f>
        <v>20.245</v>
      </c>
      <c r="G41" s="2"/>
      <c r="H41" s="44"/>
    </row>
    <row r="42" spans="1:7" ht="25.5">
      <c r="A42" s="1"/>
      <c r="B42" s="7" t="s">
        <v>105</v>
      </c>
      <c r="C42" s="5"/>
      <c r="D42" s="1"/>
      <c r="E42" s="8">
        <f>F42*D5*12</f>
        <v>184608.18</v>
      </c>
      <c r="F42" s="9">
        <v>3.61</v>
      </c>
      <c r="G42" s="1"/>
    </row>
    <row r="43" spans="1:7" ht="12.75">
      <c r="A43" s="1"/>
      <c r="B43" s="7"/>
      <c r="C43" s="5"/>
      <c r="D43" s="1"/>
      <c r="E43" s="1"/>
      <c r="F43" s="10"/>
      <c r="G43" s="1"/>
    </row>
    <row r="44" spans="1:7" ht="12.75" hidden="1">
      <c r="A44" s="1"/>
      <c r="B44" s="2" t="s">
        <v>74</v>
      </c>
      <c r="C44" s="5"/>
      <c r="D44" s="1"/>
      <c r="E44" s="1">
        <v>0</v>
      </c>
      <c r="F44" s="10">
        <f>E44/D$5/12</f>
        <v>0</v>
      </c>
      <c r="G44" s="1"/>
    </row>
    <row r="45" spans="1:8" ht="16.5" customHeight="1">
      <c r="A45" s="22"/>
      <c r="B45" s="23"/>
      <c r="C45" s="24"/>
      <c r="D45" s="22"/>
      <c r="E45" s="25"/>
      <c r="F45" s="27">
        <f>F41+F42</f>
        <v>23.855</v>
      </c>
      <c r="G45" s="22"/>
      <c r="H45" s="19"/>
    </row>
    <row r="47" ht="12.75">
      <c r="C47" s="32" t="s">
        <v>85</v>
      </c>
    </row>
    <row r="48" ht="12.75">
      <c r="F48" s="32" t="s">
        <v>86</v>
      </c>
    </row>
  </sheetData>
  <sheetProtection/>
  <mergeCells count="2">
    <mergeCell ref="B5:C5"/>
    <mergeCell ref="D38:D39"/>
  </mergeCells>
  <printOptions/>
  <pageMargins left="0.3937007874015748" right="0.1968503937007874" top="0.3937007874015748" bottom="0.3937007874015748" header="0.5118110236220472" footer="0.5118110236220472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2021-03-06T11:56:42Z</cp:lastPrinted>
  <dcterms:created xsi:type="dcterms:W3CDTF">1996-10-08T23:32:33Z</dcterms:created>
  <dcterms:modified xsi:type="dcterms:W3CDTF">2021-03-06T11:57:10Z</dcterms:modified>
  <cp:category/>
  <cp:version/>
  <cp:contentType/>
  <cp:contentStatus/>
</cp:coreProperties>
</file>